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MooreT\IWDW-WAQSandTSS\"/>
    </mc:Choice>
  </mc:AlternateContent>
  <bookViews>
    <workbookView xWindow="34275" yWindow="2280" windowWidth="21600" windowHeight="11385"/>
  </bookViews>
  <sheets>
    <sheet name="IWDW-WAQ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E41" i="1"/>
  <c r="B34" i="1" l="1"/>
  <c r="B31" i="1"/>
  <c r="D18" i="1"/>
  <c r="B11" i="1"/>
  <c r="B15" i="1" s="1"/>
  <c r="C23" i="1" l="1"/>
  <c r="C29" i="1"/>
  <c r="C31" i="1" l="1"/>
  <c r="D31" i="1"/>
  <c r="B32" i="1" s="1"/>
  <c r="D30" i="1"/>
  <c r="D29" i="1"/>
  <c r="D28" i="1"/>
  <c r="D27" i="1"/>
  <c r="D26" i="1"/>
  <c r="D25" i="1"/>
  <c r="D24" i="1"/>
  <c r="D23" i="1"/>
  <c r="D22" i="1"/>
  <c r="D21" i="1"/>
  <c r="D20" i="1"/>
  <c r="D19" i="1"/>
  <c r="D13" i="1"/>
  <c r="D14" i="1"/>
  <c r="C12" i="1"/>
  <c r="C15" i="1" s="1"/>
  <c r="D15" i="1" l="1"/>
  <c r="B16" i="1" s="1"/>
  <c r="C32" i="1"/>
  <c r="D12" i="1"/>
  <c r="C16" i="1" l="1"/>
  <c r="D37" i="1"/>
  <c r="B38" i="1"/>
  <c r="D34" i="1"/>
  <c r="B47" i="1"/>
</calcChain>
</file>

<file path=xl/sharedStrings.xml><?xml version="1.0" encoding="utf-8"?>
<sst xmlns="http://schemas.openxmlformats.org/spreadsheetml/2006/main" count="88" uniqueCount="74">
  <si>
    <t>IWDW-WAQS project expenditures and budget status</t>
  </si>
  <si>
    <t>NPS-WESTAR IWDW-WAQS funds</t>
  </si>
  <si>
    <t>Supplemental / Discretionary Funding from WESTAR budget using EPA grant, state contributions, other sources</t>
  </si>
  <si>
    <t>Total</t>
  </si>
  <si>
    <t>IWDW Operations (WESTAR-CIRA cooperative agreement for CIRA Air Data Mgmt. System database and IWDW, TSS, and FED websites, now staffed at 1.6 FTE)</t>
  </si>
  <si>
    <t>clean-up and QA for 2011a/b files on IWDW</t>
  </si>
  <si>
    <t>service agreement</t>
  </si>
  <si>
    <t>Zac Adelman, Univ. of North Carolina</t>
  </si>
  <si>
    <t>20% indirect rate</t>
  </si>
  <si>
    <t>IWDW staff augmentation</t>
  </si>
  <si>
    <t>CSU agreement</t>
  </si>
  <si>
    <t>Rodger Ames, CSU</t>
  </si>
  <si>
    <r>
      <t xml:space="preserve">TSS-IWDW Operations and Maintenance, </t>
    </r>
    <r>
      <rPr>
        <sz val="10"/>
        <color theme="9"/>
        <rFont val="Times New Roman"/>
        <family val="1"/>
      </rPr>
      <t>ongoing</t>
    </r>
  </si>
  <si>
    <t>18-04</t>
  </si>
  <si>
    <t>CIRA (funded currently through Nov. 2021)</t>
  </si>
  <si>
    <r>
      <t xml:space="preserve">Regional Haze Data Analysis, </t>
    </r>
    <r>
      <rPr>
        <sz val="10"/>
        <color theme="9"/>
        <rFont val="Times New Roman"/>
        <family val="1"/>
      </rPr>
      <t>ongoing</t>
    </r>
  </si>
  <si>
    <t>18-09</t>
  </si>
  <si>
    <t>Air Resource Specialists</t>
  </si>
  <si>
    <t>19-02</t>
  </si>
  <si>
    <t>Pat Brewer</t>
  </si>
  <si>
    <t>2014 through 2020</t>
  </si>
  <si>
    <t>2014-based Regional Haze Emissions and Modeling / initial 2017 modeling platform development (firm, fixed-priced contracts)</t>
  </si>
  <si>
    <t>16-03</t>
  </si>
  <si>
    <t>Ramboll Environment</t>
  </si>
  <si>
    <t>17-03</t>
  </si>
  <si>
    <t>Air Sciences, Inc.</t>
  </si>
  <si>
    <t>18-01</t>
  </si>
  <si>
    <t>18-02</t>
  </si>
  <si>
    <t>initial Oil &amp; Gas WG Emission Inventory work</t>
  </si>
  <si>
    <t>18-05</t>
  </si>
  <si>
    <t>Regional Haze Planning Readiness, includes Storyboard</t>
  </si>
  <si>
    <t>18-06</t>
  </si>
  <si>
    <r>
      <t xml:space="preserve">Fire &amp; Smoke WG EI tasks, </t>
    </r>
    <r>
      <rPr>
        <sz val="10"/>
        <color theme="9"/>
        <rFont val="Times New Roman"/>
        <family val="1"/>
      </rPr>
      <t>ongoing</t>
    </r>
  </si>
  <si>
    <t>18-07</t>
  </si>
  <si>
    <r>
      <t xml:space="preserve">Oil &amp; Gas WG Emission Inventory, </t>
    </r>
    <r>
      <rPr>
        <sz val="10"/>
        <color theme="9"/>
        <rFont val="Times New Roman"/>
        <family val="1"/>
      </rPr>
      <t>ongoing</t>
    </r>
  </si>
  <si>
    <t>18-08</t>
  </si>
  <si>
    <t>Ramboll US Consulting</t>
  </si>
  <si>
    <t>Tribal Data WG workplan tasks</t>
  </si>
  <si>
    <t>18-10</t>
  </si>
  <si>
    <t xml:space="preserve">Northern Arizona University / Institute for Tribal Environmental Professionals </t>
  </si>
  <si>
    <t>reduced indirect rate</t>
  </si>
  <si>
    <t>EGU Emissions Analysis project</t>
  </si>
  <si>
    <t>18-11</t>
  </si>
  <si>
    <t>CSU Center for the New Energy Economy</t>
  </si>
  <si>
    <t>Shakeout effort on 2014-based Modeling Platform Development</t>
  </si>
  <si>
    <t>18-12</t>
  </si>
  <si>
    <r>
      <t xml:space="preserve">main 2014-based Regional Haze Modeling Platform Development effort, </t>
    </r>
    <r>
      <rPr>
        <sz val="10"/>
        <color theme="9"/>
        <rFont val="Times New Roman"/>
        <family val="1"/>
      </rPr>
      <t>almost complete</t>
    </r>
  </si>
  <si>
    <t>19-01</t>
  </si>
  <si>
    <r>
      <t xml:space="preserve">2017 modeling platform - GEOS-Chem &amp; WRF Modeling, </t>
    </r>
    <r>
      <rPr>
        <sz val="10"/>
        <color theme="9"/>
        <rFont val="Times New Roman"/>
        <family val="1"/>
      </rPr>
      <t>ongoing</t>
    </r>
  </si>
  <si>
    <t>20-02</t>
  </si>
  <si>
    <t>2016 through 2020</t>
  </si>
  <si>
    <t>IWDW-WAQS Project Coordination by WESTAR-WRAP staff</t>
  </si>
  <si>
    <t>2017 through 2020 (annual burn rate based on 4-year average)</t>
  </si>
  <si>
    <t>not applicable</t>
  </si>
  <si>
    <t>IWDW-WAQS project funds on hand as of January 2021</t>
  </si>
  <si>
    <t>Unallocated Contracting Funds</t>
  </si>
  <si>
    <t>Salary/Fringe/Indirect</t>
  </si>
  <si>
    <t>= 7 months @ 0.20 FTE (Jan-Jul 2021)</t>
  </si>
  <si>
    <t>WESTAR Quarterly Activity Reports</t>
  </si>
  <si>
    <t>NPS Awards Received</t>
  </si>
  <si>
    <t>Award</t>
  </si>
  <si>
    <t>Date Awarded</t>
  </si>
  <si>
    <t>P14AC00099 (Task 3)</t>
  </si>
  <si>
    <t>P16AC01109 (Task 4)</t>
  </si>
  <si>
    <t>P18AC01186 (Task 5)</t>
  </si>
  <si>
    <t>P19AC01205</t>
  </si>
  <si>
    <t>Total NPS Awards</t>
  </si>
  <si>
    <t>Regional Tech. Ops. WG Modeling Representativeness Study</t>
  </si>
  <si>
    <t>Oil &amp; Gas WG Emission Inventory Road Map</t>
  </si>
  <si>
    <t>WRAP Fire Emissions Tracking System - reporting for 2014 NEI</t>
  </si>
  <si>
    <t>Difference from awarded = WESTAR indirect costs</t>
  </si>
  <si>
    <t>Base Year 2014 Emission Inventory / Regional Haze Analysis</t>
  </si>
  <si>
    <t>includes indirect</t>
  </si>
  <si>
    <t>Total from table spent and on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</si>
</sst>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[$-409]mmmm\ d\,\ yyyy;@"/>
    <numFmt numFmtId="165" formatCode="_(&quot;$&quot;* #,##0_);_(&quot;$&quot;* \(#,##0\);_(&quot;$&quot;* &quot;-&quot;??_);_(@_)"/>
    <numFmt numFmtId="169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8" tint="-0.249977111117893"/>
      <name val="Times New Roman"/>
      <family val="1"/>
    </font>
    <font>
      <sz val="11"/>
      <color theme="8" tint="-0.249977111117893"/>
      <name val="Calibri"/>
      <family val="2"/>
      <scheme val="minor"/>
    </font>
    <font>
      <sz val="9"/>
      <color theme="1"/>
      <name val="Times New Roman"/>
      <family val="1"/>
    </font>
    <font>
      <sz val="9"/>
      <color theme="8" tint="-0.249977111117893"/>
      <name val="Times New Roman"/>
      <family val="1"/>
    </font>
    <font>
      <b/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9"/>
      <color rgb="FF2F75B5"/>
      <name val="Times New Roman"/>
      <family val="1"/>
    </font>
    <font>
      <sz val="9"/>
      <color theme="1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theme="9"/>
      <name val="Times New Roman"/>
      <family val="1"/>
    </font>
    <font>
      <b/>
      <sz val="10.5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indent="4"/>
    </xf>
    <xf numFmtId="0" fontId="5" fillId="0" borderId="0" xfId="0" applyFont="1"/>
    <xf numFmtId="165" fontId="5" fillId="0" borderId="0" xfId="1" applyNumberFormat="1" applyFont="1"/>
    <xf numFmtId="165" fontId="5" fillId="0" borderId="10" xfId="1" applyNumberFormat="1" applyFont="1" applyBorder="1"/>
    <xf numFmtId="165" fontId="10" fillId="0" borderId="0" xfId="0" applyNumberFormat="1" applyFont="1"/>
    <xf numFmtId="0" fontId="10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65" fontId="6" fillId="2" borderId="4" xfId="1" applyNumberFormat="1" applyFont="1" applyFill="1" applyBorder="1" applyAlignment="1">
      <alignment vertical="center" wrapText="1"/>
    </xf>
    <xf numFmtId="0" fontId="12" fillId="0" borderId="0" xfId="0" applyFont="1"/>
    <xf numFmtId="165" fontId="11" fillId="0" borderId="12" xfId="1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9" fontId="6" fillId="0" borderId="5" xfId="3" applyFont="1" applyBorder="1" applyAlignment="1">
      <alignment vertical="center" wrapText="1"/>
    </xf>
    <xf numFmtId="0" fontId="15" fillId="0" borderId="0" xfId="2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14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horizontal="left" vertical="center" wrapText="1"/>
    </xf>
    <xf numFmtId="165" fontId="11" fillId="0" borderId="0" xfId="1" applyNumberFormat="1" applyFont="1" applyBorder="1" applyAlignment="1">
      <alignment vertical="center" wrapText="1"/>
    </xf>
    <xf numFmtId="165" fontId="6" fillId="2" borderId="15" xfId="1" applyNumberFormat="1" applyFont="1" applyFill="1" applyBorder="1" applyAlignment="1">
      <alignment vertical="center" wrapText="1"/>
    </xf>
    <xf numFmtId="9" fontId="6" fillId="0" borderId="4" xfId="3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/>
    </xf>
    <xf numFmtId="165" fontId="11" fillId="0" borderId="14" xfId="1" applyNumberFormat="1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165" fontId="11" fillId="0" borderId="17" xfId="1" applyNumberFormat="1" applyFont="1" applyBorder="1" applyAlignment="1">
      <alignment vertical="center" wrapText="1"/>
    </xf>
    <xf numFmtId="165" fontId="6" fillId="0" borderId="19" xfId="1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65" fontId="6" fillId="0" borderId="14" xfId="1" applyNumberFormat="1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165" fontId="11" fillId="0" borderId="21" xfId="1" applyNumberFormat="1" applyFont="1" applyBorder="1" applyAlignment="1">
      <alignment vertical="center" wrapText="1"/>
    </xf>
    <xf numFmtId="165" fontId="11" fillId="0" borderId="13" xfId="1" applyNumberFormat="1" applyFont="1" applyBorder="1" applyAlignment="1">
      <alignment vertical="center" wrapText="1"/>
    </xf>
    <xf numFmtId="165" fontId="11" fillId="0" borderId="22" xfId="1" applyNumberFormat="1" applyFont="1" applyBorder="1" applyAlignment="1">
      <alignment vertical="center" wrapText="1"/>
    </xf>
    <xf numFmtId="165" fontId="11" fillId="0" borderId="23" xfId="1" applyNumberFormat="1" applyFont="1" applyBorder="1" applyAlignment="1">
      <alignment vertical="center" wrapText="1"/>
    </xf>
    <xf numFmtId="165" fontId="11" fillId="0" borderId="24" xfId="1" applyNumberFormat="1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65" fontId="6" fillId="2" borderId="27" xfId="1" applyNumberFormat="1" applyFont="1" applyFill="1" applyBorder="1" applyAlignment="1">
      <alignment vertical="center" wrapText="1"/>
    </xf>
    <xf numFmtId="165" fontId="6" fillId="0" borderId="27" xfId="1" applyNumberFormat="1" applyFont="1" applyBorder="1" applyAlignment="1">
      <alignment horizontal="center" vertical="center" wrapText="1"/>
    </xf>
    <xf numFmtId="165" fontId="6" fillId="0" borderId="28" xfId="1" applyNumberFormat="1" applyFont="1" applyBorder="1" applyAlignment="1">
      <alignment vertical="center" wrapText="1"/>
    </xf>
    <xf numFmtId="165" fontId="6" fillId="2" borderId="29" xfId="1" applyNumberFormat="1" applyFont="1" applyFill="1" applyBorder="1" applyAlignment="1">
      <alignment vertical="center" wrapText="1"/>
    </xf>
    <xf numFmtId="165" fontId="6" fillId="0" borderId="29" xfId="1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1" fillId="0" borderId="3" xfId="0" applyFont="1" applyBorder="1" applyAlignment="1">
      <alignment vertical="center" wrapText="1"/>
    </xf>
    <xf numFmtId="165" fontId="22" fillId="0" borderId="4" xfId="1" applyNumberFormat="1" applyFont="1" applyBorder="1" applyAlignment="1">
      <alignment vertical="center" wrapText="1"/>
    </xf>
    <xf numFmtId="165" fontId="22" fillId="0" borderId="4" xfId="1" applyNumberFormat="1" applyFont="1" applyBorder="1" applyAlignment="1">
      <alignment horizontal="center" vertical="center" wrapText="1"/>
    </xf>
    <xf numFmtId="165" fontId="22" fillId="0" borderId="14" xfId="1" applyNumberFormat="1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165" fontId="22" fillId="0" borderId="5" xfId="1" applyNumberFormat="1" applyFont="1" applyBorder="1" applyAlignment="1">
      <alignment vertical="center" wrapText="1"/>
    </xf>
    <xf numFmtId="44" fontId="22" fillId="2" borderId="5" xfId="1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49" fontId="22" fillId="3" borderId="1" xfId="0" applyNumberFormat="1" applyFont="1" applyFill="1" applyBorder="1" applyAlignment="1">
      <alignment vertical="center" wrapText="1"/>
    </xf>
    <xf numFmtId="0" fontId="18" fillId="3" borderId="0" xfId="0" applyFont="1" applyFill="1"/>
    <xf numFmtId="0" fontId="24" fillId="0" borderId="2" xfId="0" applyFont="1" applyBorder="1" applyAlignment="1">
      <alignment horizontal="center" vertical="center" wrapText="1"/>
    </xf>
    <xf numFmtId="165" fontId="0" fillId="0" borderId="0" xfId="0" applyNumberFormat="1"/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6" fillId="0" borderId="0" xfId="0" applyFont="1"/>
    <xf numFmtId="169" fontId="6" fillId="0" borderId="0" xfId="0" applyNumberFormat="1" applyFont="1" applyAlignment="1">
      <alignment vertical="center"/>
    </xf>
    <xf numFmtId="169" fontId="6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657225</xdr:colOff>
      <xdr:row>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0FC527-F8E2-4281-83F0-C99E1812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477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352425</xdr:colOff>
      <xdr:row>0</xdr:row>
      <xdr:rowOff>9525</xdr:rowOff>
    </xdr:from>
    <xdr:to>
      <xdr:col>3</xdr:col>
      <xdr:colOff>1257300</xdr:colOff>
      <xdr:row>2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0C0C4A-8873-4BA0-BF44-52092812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048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star.org/ActivityRepor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49"/>
  <sheetViews>
    <sheetView tabSelected="1" workbookViewId="0">
      <selection activeCell="F50" sqref="F50"/>
    </sheetView>
  </sheetViews>
  <sheetFormatPr defaultRowHeight="15" x14ac:dyDescent="0.25"/>
  <cols>
    <col min="1" max="1" width="51" customWidth="1"/>
    <col min="2" max="2" width="20.28515625" customWidth="1"/>
    <col min="3" max="3" width="28.7109375" customWidth="1"/>
    <col min="4" max="4" width="29.28515625" customWidth="1"/>
    <col min="5" max="5" width="15.7109375" style="16" customWidth="1"/>
    <col min="6" max="6" width="31.7109375" customWidth="1"/>
    <col min="7" max="7" width="15.42578125" customWidth="1"/>
  </cols>
  <sheetData>
    <row r="4" spans="1:8" ht="18.75" x14ac:dyDescent="0.25">
      <c r="A4" s="79" t="s">
        <v>0</v>
      </c>
      <c r="B4" s="79"/>
      <c r="C4" s="79"/>
      <c r="D4" s="79"/>
    </row>
    <row r="5" spans="1:8" x14ac:dyDescent="0.25">
      <c r="A5" s="1"/>
    </row>
    <row r="6" spans="1:8" ht="15.75" x14ac:dyDescent="0.25">
      <c r="A6" s="80">
        <v>44258</v>
      </c>
      <c r="B6" s="80"/>
      <c r="C6" s="80"/>
      <c r="D6" s="80"/>
    </row>
    <row r="7" spans="1:8" ht="16.5" thickBot="1" x14ac:dyDescent="0.3">
      <c r="A7" s="20"/>
      <c r="B7" s="20"/>
      <c r="C7" s="20"/>
      <c r="D7" s="20"/>
    </row>
    <row r="8" spans="1:8" ht="64.5" customHeight="1" thickTop="1" thickBot="1" x14ac:dyDescent="0.3">
      <c r="A8" s="2"/>
      <c r="B8" s="3" t="s">
        <v>1</v>
      </c>
      <c r="C8" s="68" t="s">
        <v>2</v>
      </c>
      <c r="D8" s="3" t="s">
        <v>3</v>
      </c>
    </row>
    <row r="9" spans="1:8" ht="27" customHeight="1" thickTop="1" thickBot="1" x14ac:dyDescent="0.3">
      <c r="A9" s="70" t="s">
        <v>4</v>
      </c>
      <c r="B9" s="71"/>
      <c r="C9" s="71"/>
      <c r="D9" s="72"/>
    </row>
    <row r="10" spans="1:8" x14ac:dyDescent="0.25">
      <c r="A10" s="32" t="s">
        <v>5</v>
      </c>
      <c r="B10" s="40">
        <v>25857</v>
      </c>
      <c r="C10" s="41">
        <v>0</v>
      </c>
      <c r="D10" s="42"/>
      <c r="E10" s="17" t="s">
        <v>6</v>
      </c>
      <c r="F10" s="23" t="s">
        <v>7</v>
      </c>
      <c r="G10" s="24" t="s">
        <v>8</v>
      </c>
      <c r="H10" s="25"/>
    </row>
    <row r="11" spans="1:8" x14ac:dyDescent="0.25">
      <c r="A11" s="32" t="s">
        <v>9</v>
      </c>
      <c r="B11" s="43">
        <f>74080+14510</f>
        <v>88590</v>
      </c>
      <c r="C11" s="28">
        <v>0</v>
      </c>
      <c r="D11" s="35"/>
      <c r="E11" s="17" t="s">
        <v>10</v>
      </c>
      <c r="F11" s="23" t="s">
        <v>11</v>
      </c>
      <c r="G11" s="24" t="s">
        <v>8</v>
      </c>
      <c r="H11" s="25"/>
    </row>
    <row r="12" spans="1:8" s="14" customFormat="1" ht="15.75" customHeight="1" x14ac:dyDescent="0.25">
      <c r="A12" s="65" t="s">
        <v>12</v>
      </c>
      <c r="B12" s="43">
        <v>125000</v>
      </c>
      <c r="C12" s="28">
        <f>280199+95706</f>
        <v>375905</v>
      </c>
      <c r="D12" s="35">
        <f>SUM(B12:C12)</f>
        <v>500905</v>
      </c>
      <c r="E12" s="17" t="s">
        <v>13</v>
      </c>
      <c r="F12" s="67" t="s">
        <v>14</v>
      </c>
      <c r="G12" s="24" t="s">
        <v>8</v>
      </c>
      <c r="H12" s="26"/>
    </row>
    <row r="13" spans="1:8" s="14" customFormat="1" ht="17.25" customHeight="1" x14ac:dyDescent="0.25">
      <c r="A13" s="34" t="s">
        <v>15</v>
      </c>
      <c r="B13" s="43">
        <v>0</v>
      </c>
      <c r="C13" s="28">
        <v>57820</v>
      </c>
      <c r="D13" s="35">
        <f t="shared" ref="D13:D14" si="0">SUM(B13:C13)</f>
        <v>57820</v>
      </c>
      <c r="E13" s="17" t="s">
        <v>16</v>
      </c>
      <c r="F13" s="27" t="s">
        <v>17</v>
      </c>
      <c r="G13" s="24"/>
      <c r="H13" s="26"/>
    </row>
    <row r="14" spans="1:8" s="14" customFormat="1" ht="17.25" customHeight="1" thickBot="1" x14ac:dyDescent="0.3">
      <c r="A14" s="34" t="s">
        <v>15</v>
      </c>
      <c r="B14" s="44">
        <v>100500</v>
      </c>
      <c r="C14" s="15">
        <v>0</v>
      </c>
      <c r="D14" s="33">
        <f t="shared" si="0"/>
        <v>100500</v>
      </c>
      <c r="E14" s="17" t="s">
        <v>18</v>
      </c>
      <c r="F14" s="27" t="s">
        <v>19</v>
      </c>
      <c r="G14" s="24"/>
      <c r="H14" s="26"/>
    </row>
    <row r="15" spans="1:8" ht="15.75" thickBot="1" x14ac:dyDescent="0.3">
      <c r="A15" s="81" t="s">
        <v>20</v>
      </c>
      <c r="B15" s="29">
        <f>SUM(B10:B14)</f>
        <v>339947</v>
      </c>
      <c r="C15" s="29">
        <f>SUM(C10:C14)</f>
        <v>433725</v>
      </c>
      <c r="D15" s="36">
        <f>SUM(B15:C15)</f>
        <v>773672</v>
      </c>
    </row>
    <row r="16" spans="1:8" ht="15.75" thickBot="1" x14ac:dyDescent="0.3">
      <c r="A16" s="82"/>
      <c r="B16" s="30">
        <f>+B15/$D15</f>
        <v>0.43939421356854069</v>
      </c>
      <c r="C16" s="30">
        <f>+C15/$D15</f>
        <v>0.56060578643145931</v>
      </c>
      <c r="D16" s="37"/>
    </row>
    <row r="17" spans="1:7" ht="22.5" customHeight="1" thickBot="1" x14ac:dyDescent="0.3">
      <c r="A17" s="73" t="s">
        <v>21</v>
      </c>
      <c r="B17" s="74"/>
      <c r="C17" s="74"/>
      <c r="D17" s="75"/>
    </row>
    <row r="18" spans="1:7" s="14" customFormat="1" ht="19.5" customHeight="1" x14ac:dyDescent="0.25">
      <c r="A18" s="85" t="s">
        <v>71</v>
      </c>
      <c r="B18" s="40">
        <v>82000</v>
      </c>
      <c r="C18" s="41">
        <v>0</v>
      </c>
      <c r="D18" s="42">
        <f t="shared" ref="D18:D30" si="1">SUM(B18:C18)</f>
        <v>82000</v>
      </c>
      <c r="E18" s="17" t="s">
        <v>22</v>
      </c>
      <c r="F18" s="27" t="s">
        <v>23</v>
      </c>
    </row>
    <row r="19" spans="1:7" s="14" customFormat="1" ht="19.5" customHeight="1" x14ac:dyDescent="0.25">
      <c r="A19" s="46" t="s">
        <v>69</v>
      </c>
      <c r="B19" s="43">
        <v>0</v>
      </c>
      <c r="C19" s="28">
        <v>27343</v>
      </c>
      <c r="D19" s="35">
        <f t="shared" si="1"/>
        <v>27343</v>
      </c>
      <c r="E19" s="17" t="s">
        <v>24</v>
      </c>
      <c r="F19" s="27" t="s">
        <v>25</v>
      </c>
    </row>
    <row r="20" spans="1:7" s="14" customFormat="1" ht="19.5" customHeight="1" x14ac:dyDescent="0.25">
      <c r="A20" s="46" t="s">
        <v>68</v>
      </c>
      <c r="B20" s="43">
        <v>0</v>
      </c>
      <c r="C20" s="28">
        <v>21000</v>
      </c>
      <c r="D20" s="35">
        <f t="shared" si="1"/>
        <v>21000</v>
      </c>
      <c r="E20" s="17" t="s">
        <v>26</v>
      </c>
      <c r="F20" s="27" t="s">
        <v>23</v>
      </c>
    </row>
    <row r="21" spans="1:7" s="14" customFormat="1" ht="19.5" customHeight="1" x14ac:dyDescent="0.25">
      <c r="A21" s="46" t="s">
        <v>67</v>
      </c>
      <c r="B21" s="43">
        <v>0</v>
      </c>
      <c r="C21" s="28">
        <v>24941</v>
      </c>
      <c r="D21" s="35">
        <f t="shared" si="1"/>
        <v>24941</v>
      </c>
      <c r="E21" s="17" t="s">
        <v>27</v>
      </c>
      <c r="F21" s="27" t="s">
        <v>23</v>
      </c>
    </row>
    <row r="22" spans="1:7" s="14" customFormat="1" ht="19.5" customHeight="1" x14ac:dyDescent="0.25">
      <c r="A22" s="22" t="s">
        <v>28</v>
      </c>
      <c r="B22" s="43">
        <v>98500</v>
      </c>
      <c r="C22" s="28">
        <v>0</v>
      </c>
      <c r="D22" s="35">
        <f t="shared" si="1"/>
        <v>98500</v>
      </c>
      <c r="E22" s="17" t="s">
        <v>29</v>
      </c>
      <c r="F22" s="27" t="s">
        <v>23</v>
      </c>
      <c r="G22" s="21"/>
    </row>
    <row r="23" spans="1:7" s="14" customFormat="1" ht="19.5" customHeight="1" x14ac:dyDescent="0.25">
      <c r="A23" s="22" t="s">
        <v>30</v>
      </c>
      <c r="B23" s="43">
        <v>18659</v>
      </c>
      <c r="C23" s="28">
        <f>75493-B23</f>
        <v>56834</v>
      </c>
      <c r="D23" s="35">
        <f t="shared" si="1"/>
        <v>75493</v>
      </c>
      <c r="E23" s="17" t="s">
        <v>31</v>
      </c>
      <c r="F23" s="27" t="s">
        <v>23</v>
      </c>
    </row>
    <row r="24" spans="1:7" s="14" customFormat="1" ht="19.5" customHeight="1" x14ac:dyDescent="0.25">
      <c r="A24" s="46" t="s">
        <v>32</v>
      </c>
      <c r="B24" s="43">
        <v>0</v>
      </c>
      <c r="C24" s="28">
        <v>217723</v>
      </c>
      <c r="D24" s="35">
        <f t="shared" si="1"/>
        <v>217723</v>
      </c>
      <c r="E24" s="17" t="s">
        <v>33</v>
      </c>
      <c r="F24" s="31" t="s">
        <v>25</v>
      </c>
    </row>
    <row r="25" spans="1:7" s="14" customFormat="1" ht="19.5" customHeight="1" x14ac:dyDescent="0.25">
      <c r="A25" s="46" t="s">
        <v>34</v>
      </c>
      <c r="B25" s="43">
        <v>0</v>
      </c>
      <c r="C25" s="28">
        <v>229700</v>
      </c>
      <c r="D25" s="35">
        <f t="shared" si="1"/>
        <v>229700</v>
      </c>
      <c r="E25" s="17" t="s">
        <v>35</v>
      </c>
      <c r="F25" s="27" t="s">
        <v>36</v>
      </c>
    </row>
    <row r="26" spans="1:7" s="14" customFormat="1" ht="27.75" customHeight="1" x14ac:dyDescent="0.25">
      <c r="A26" s="46" t="s">
        <v>37</v>
      </c>
      <c r="B26" s="43">
        <v>0</v>
      </c>
      <c r="C26" s="28">
        <v>72826</v>
      </c>
      <c r="D26" s="35">
        <f t="shared" si="1"/>
        <v>72826</v>
      </c>
      <c r="E26" s="17" t="s">
        <v>38</v>
      </c>
      <c r="F26" s="27" t="s">
        <v>39</v>
      </c>
      <c r="G26" s="39" t="s">
        <v>40</v>
      </c>
    </row>
    <row r="27" spans="1:7" s="14" customFormat="1" ht="20.25" customHeight="1" x14ac:dyDescent="0.25">
      <c r="A27" s="47" t="s">
        <v>41</v>
      </c>
      <c r="B27" s="43">
        <v>0</v>
      </c>
      <c r="C27" s="28">
        <v>50000</v>
      </c>
      <c r="D27" s="35">
        <f t="shared" si="1"/>
        <v>50000</v>
      </c>
      <c r="E27" s="17" t="s">
        <v>42</v>
      </c>
      <c r="F27" s="48" t="s">
        <v>43</v>
      </c>
      <c r="G27" s="57" t="s">
        <v>8</v>
      </c>
    </row>
    <row r="28" spans="1:7" s="14" customFormat="1" ht="19.5" customHeight="1" x14ac:dyDescent="0.25">
      <c r="A28" s="46" t="s">
        <v>44</v>
      </c>
      <c r="B28" s="43">
        <v>0</v>
      </c>
      <c r="C28" s="28">
        <v>147880</v>
      </c>
      <c r="D28" s="35">
        <f t="shared" si="1"/>
        <v>147880</v>
      </c>
      <c r="E28" s="17" t="s">
        <v>45</v>
      </c>
      <c r="F28" s="27" t="s">
        <v>23</v>
      </c>
    </row>
    <row r="29" spans="1:7" s="14" customFormat="1" ht="27.75" customHeight="1" x14ac:dyDescent="0.25">
      <c r="A29" s="46" t="s">
        <v>46</v>
      </c>
      <c r="B29" s="43">
        <v>586996</v>
      </c>
      <c r="C29" s="28">
        <f>1024482-B29</f>
        <v>437486</v>
      </c>
      <c r="D29" s="35">
        <f t="shared" si="1"/>
        <v>1024482</v>
      </c>
      <c r="E29" s="17" t="s">
        <v>47</v>
      </c>
      <c r="F29" s="27" t="s">
        <v>36</v>
      </c>
    </row>
    <row r="30" spans="1:7" s="14" customFormat="1" ht="21" customHeight="1" thickBot="1" x14ac:dyDescent="0.3">
      <c r="A30" s="45" t="s">
        <v>48</v>
      </c>
      <c r="B30" s="44">
        <v>93000</v>
      </c>
      <c r="C30" s="15">
        <v>0</v>
      </c>
      <c r="D30" s="33">
        <f t="shared" si="1"/>
        <v>93000</v>
      </c>
      <c r="E30" s="17" t="s">
        <v>49</v>
      </c>
      <c r="F30" s="31" t="s">
        <v>36</v>
      </c>
    </row>
    <row r="31" spans="1:7" ht="15.75" thickBot="1" x14ac:dyDescent="0.3">
      <c r="A31" s="83" t="s">
        <v>50</v>
      </c>
      <c r="B31" s="13">
        <f>SUM(B18:B30)</f>
        <v>879155</v>
      </c>
      <c r="C31" s="13">
        <f>SUM(C18:C30)</f>
        <v>1285733</v>
      </c>
      <c r="D31" s="38">
        <f>SUM(B31:C31)</f>
        <v>2164888</v>
      </c>
    </row>
    <row r="32" spans="1:7" ht="17.25" customHeight="1" thickBot="1" x14ac:dyDescent="0.3">
      <c r="A32" s="84"/>
      <c r="B32" s="18">
        <f>+B31/$D31</f>
        <v>0.40609722073382087</v>
      </c>
      <c r="C32" s="18">
        <f>+C31/$D31</f>
        <v>0.59390277926617918</v>
      </c>
      <c r="D32" s="4"/>
    </row>
    <row r="33" spans="1:7" ht="25.5" customHeight="1" thickTop="1" thickBot="1" x14ac:dyDescent="0.3">
      <c r="A33" s="70" t="s">
        <v>51</v>
      </c>
      <c r="B33" s="71"/>
      <c r="C33" s="71"/>
      <c r="D33" s="72"/>
    </row>
    <row r="34" spans="1:7" ht="22.5" customHeight="1" thickBot="1" x14ac:dyDescent="0.3">
      <c r="A34" s="50" t="s">
        <v>52</v>
      </c>
      <c r="B34" s="51">
        <f>((120455+8692+27510)/4)*1.35</f>
        <v>52871.737500000003</v>
      </c>
      <c r="C34" s="52" t="s">
        <v>53</v>
      </c>
      <c r="D34" s="53">
        <f>SUM(B34:C34)</f>
        <v>52871.737500000003</v>
      </c>
      <c r="F34" s="23" t="s">
        <v>72</v>
      </c>
    </row>
    <row r="35" spans="1:7" ht="6" customHeight="1" thickTop="1" thickBot="1" x14ac:dyDescent="0.3">
      <c r="A35" s="49"/>
      <c r="B35" s="54"/>
      <c r="C35" s="55"/>
      <c r="D35" s="56"/>
    </row>
    <row r="36" spans="1:7" ht="25.5" customHeight="1" thickTop="1" thickBot="1" x14ac:dyDescent="0.3">
      <c r="A36" s="76" t="s">
        <v>54</v>
      </c>
      <c r="B36" s="77"/>
      <c r="C36" s="77"/>
      <c r="D36" s="78"/>
    </row>
    <row r="37" spans="1:7" ht="20.25" customHeight="1" thickBot="1" x14ac:dyDescent="0.3">
      <c r="A37" s="58" t="s">
        <v>55</v>
      </c>
      <c r="B37" s="59">
        <v>52771</v>
      </c>
      <c r="C37" s="60" t="s">
        <v>53</v>
      </c>
      <c r="D37" s="61">
        <f>SUM(B37:C37)</f>
        <v>52771</v>
      </c>
    </row>
    <row r="38" spans="1:7" ht="19.5" customHeight="1" thickBot="1" x14ac:dyDescent="0.3">
      <c r="A38" s="62" t="s">
        <v>56</v>
      </c>
      <c r="B38" s="63">
        <f>27789*1.2794</f>
        <v>35553.246600000006</v>
      </c>
      <c r="C38" s="64" t="s">
        <v>53</v>
      </c>
      <c r="D38" s="66" t="s">
        <v>57</v>
      </c>
    </row>
    <row r="39" spans="1:7" ht="15.75" thickTop="1" x14ac:dyDescent="0.25">
      <c r="A39" s="5"/>
    </row>
    <row r="40" spans="1:7" x14ac:dyDescent="0.25">
      <c r="A40" s="19" t="s">
        <v>58</v>
      </c>
    </row>
    <row r="41" spans="1:7" ht="15.75" x14ac:dyDescent="0.25">
      <c r="A41" s="6"/>
      <c r="E41" s="88">
        <f>(B31+B15)+(B34*4)+B37+B38</f>
        <v>1518913.1965999999</v>
      </c>
      <c r="F41" s="86" t="s">
        <v>73</v>
      </c>
      <c r="G41" s="7"/>
    </row>
    <row r="42" spans="1:7" x14ac:dyDescent="0.25">
      <c r="A42" s="90" t="s">
        <v>59</v>
      </c>
      <c r="B42" s="11" t="s">
        <v>60</v>
      </c>
      <c r="C42" s="11" t="s">
        <v>61</v>
      </c>
      <c r="D42" s="16"/>
      <c r="E42" s="89">
        <f>B47-E41</f>
        <v>83286.803400000092</v>
      </c>
      <c r="F42" s="87" t="s">
        <v>70</v>
      </c>
      <c r="G42" s="7"/>
    </row>
    <row r="43" spans="1:7" x14ac:dyDescent="0.25">
      <c r="A43" s="7" t="s">
        <v>62</v>
      </c>
      <c r="B43" s="8">
        <v>505501</v>
      </c>
      <c r="C43" s="12">
        <v>41689</v>
      </c>
      <c r="D43" s="16"/>
    </row>
    <row r="44" spans="1:7" x14ac:dyDescent="0.25">
      <c r="A44" s="7" t="s">
        <v>63</v>
      </c>
      <c r="B44" s="8">
        <v>234886</v>
      </c>
      <c r="C44" s="12">
        <v>42200</v>
      </c>
      <c r="D44" s="16"/>
    </row>
    <row r="45" spans="1:7" x14ac:dyDescent="0.25">
      <c r="A45" s="7" t="s">
        <v>64</v>
      </c>
      <c r="B45" s="8">
        <v>460750</v>
      </c>
      <c r="C45" s="12">
        <v>43332</v>
      </c>
      <c r="D45" s="16"/>
    </row>
    <row r="46" spans="1:7" x14ac:dyDescent="0.25">
      <c r="A46" s="7" t="s">
        <v>65</v>
      </c>
      <c r="B46" s="9">
        <v>401063</v>
      </c>
      <c r="C46" s="12">
        <v>43719</v>
      </c>
      <c r="D46" s="16"/>
    </row>
    <row r="47" spans="1:7" x14ac:dyDescent="0.25">
      <c r="A47" s="7" t="s">
        <v>66</v>
      </c>
      <c r="B47" s="10">
        <f>SUM(B43:B46)</f>
        <v>1602200</v>
      </c>
      <c r="C47" s="7"/>
      <c r="D47" s="16"/>
    </row>
    <row r="48" spans="1:7" x14ac:dyDescent="0.25">
      <c r="D48" s="69"/>
    </row>
    <row r="49" spans="4:4" x14ac:dyDescent="0.25">
      <c r="D49" s="69"/>
    </row>
  </sheetData>
  <mergeCells count="8">
    <mergeCell ref="A9:D9"/>
    <mergeCell ref="A17:D17"/>
    <mergeCell ref="A33:D33"/>
    <mergeCell ref="A36:D36"/>
    <mergeCell ref="A4:D4"/>
    <mergeCell ref="A6:D6"/>
    <mergeCell ref="A15:A16"/>
    <mergeCell ref="A31:A32"/>
  </mergeCells>
  <phoneticPr fontId="9" type="noConversion"/>
  <hyperlinks>
    <hyperlink ref="A40" r:id="rId1"/>
  </hyperlinks>
  <printOptions horizontalCentered="1"/>
  <pageMargins left="0.25" right="0.25" top="0.75" bottom="0.75" header="0.3" footer="0.3"/>
  <pageSetup scale="6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IWDW-WAQS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Gadret</dc:creator>
  <cp:keywords/>
  <dc:description/>
  <cp:lastModifiedBy>Tom Moore</cp:lastModifiedBy>
  <cp:revision/>
  <dcterms:created xsi:type="dcterms:W3CDTF">2021-02-24T23:52:24Z</dcterms:created>
  <dcterms:modified xsi:type="dcterms:W3CDTF">2021-02-27T00:23:17Z</dcterms:modified>
  <cp:category/>
  <cp:contentStatus/>
</cp:coreProperties>
</file>